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6"/>
  <workbookPr/>
  <mc:AlternateContent xmlns:mc="http://schemas.openxmlformats.org/markup-compatibility/2006">
    <mc:Choice Requires="x15">
      <x15ac:absPath xmlns:x15ac="http://schemas.microsoft.com/office/spreadsheetml/2010/11/ac" url="/Users/geoffroyreiser/Library/CloudStorage/Dropbox/Immobilier/Felix De la Guia EvalueAsesores/"/>
    </mc:Choice>
  </mc:AlternateContent>
  <xr:revisionPtr revIDLastSave="0" documentId="13_ncr:1_{A8EA0F98-800B-4146-8111-E99E675BFB36}" xr6:coauthVersionLast="47" xr6:coauthVersionMax="47" xr10:uidLastSave="{00000000-0000-0000-0000-000000000000}"/>
  <bookViews>
    <workbookView xWindow="0" yWindow="660" windowWidth="23260" windowHeight="12580" activeTab="1" xr2:uid="{00000000-000D-0000-FFFF-FFFF00000000}"/>
  </bookViews>
  <sheets>
    <sheet name="ALQUILER" sheetId="1" r:id="rId1"/>
    <sheet name="AMORTIZACION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1" l="1"/>
  <c r="D34" i="1"/>
  <c r="J36" i="1"/>
  <c r="R11" i="1"/>
  <c r="R10" i="1"/>
  <c r="R9" i="1"/>
  <c r="R8" i="1"/>
  <c r="R7" i="1"/>
  <c r="D22" i="2"/>
  <c r="K37" i="2"/>
  <c r="M31" i="2"/>
  <c r="R13" i="2"/>
  <c r="R12" i="2"/>
  <c r="Q28" i="2"/>
  <c r="Q22" i="2"/>
  <c r="Q20" i="2"/>
  <c r="Q18" i="2"/>
  <c r="Q17" i="2"/>
  <c r="Q16" i="2"/>
  <c r="D33" i="1"/>
  <c r="K36" i="2" s="1"/>
  <c r="Q13" i="2"/>
  <c r="Q6" i="2"/>
  <c r="F17" i="2"/>
  <c r="H28" i="1"/>
  <c r="L28" i="1" s="1"/>
  <c r="N28" i="1" s="1"/>
  <c r="H27" i="1"/>
  <c r="L27" i="1" s="1"/>
  <c r="N27" i="1" s="1"/>
  <c r="H26" i="1"/>
  <c r="L26" i="1" s="1"/>
  <c r="N26" i="1" s="1"/>
  <c r="H25" i="1"/>
  <c r="L25" i="1" s="1"/>
  <c r="N25" i="1" s="1"/>
  <c r="H20" i="1"/>
  <c r="R14" i="1" l="1"/>
  <c r="L36" i="2"/>
  <c r="L37" i="2" s="1"/>
  <c r="D21" i="2"/>
  <c r="Q27" i="2"/>
  <c r="H36" i="1"/>
  <c r="E21" i="2" l="1"/>
  <c r="E22" i="2" s="1"/>
  <c r="R13" i="1"/>
  <c r="H37" i="1"/>
  <c r="K37" i="1" s="1"/>
  <c r="K36" i="1"/>
  <c r="N36" i="1" s="1"/>
  <c r="N37" i="1" s="1"/>
  <c r="R27" i="2"/>
  <c r="R28" i="2" s="1"/>
  <c r="R12" i="1"/>
  <c r="R16" i="1" l="1"/>
  <c r="I33" i="1" s="1"/>
  <c r="I34" i="1" l="1"/>
  <c r="K34" i="1" s="1"/>
  <c r="N34" i="1" s="1"/>
  <c r="K33" i="1"/>
  <c r="N33" i="1" s="1"/>
  <c r="N39" i="1" s="1"/>
</calcChain>
</file>

<file path=xl/sharedStrings.xml><?xml version="1.0" encoding="utf-8"?>
<sst xmlns="http://schemas.openxmlformats.org/spreadsheetml/2006/main" count="185" uniqueCount="109">
  <si>
    <t>APELLIDOS, NOMBRE</t>
  </si>
  <si>
    <t>NIE</t>
  </si>
  <si>
    <t>NACIONALIDAD</t>
  </si>
  <si>
    <t>FECHA DE NACIMIENTO</t>
  </si>
  <si>
    <t>LUGAR DE NACIMIENTO</t>
  </si>
  <si>
    <t>DIRECCIÓN</t>
  </si>
  <si>
    <t>FECHA DE ADQUISICIÓN</t>
  </si>
  <si>
    <t>REFERENCIA CASTASTRAL</t>
  </si>
  <si>
    <t>PRECIO ADQUISICIÓN</t>
  </si>
  <si>
    <t>VALOR CASTASTRAL TOTAL</t>
  </si>
  <si>
    <t>VALOR CASTASTRAL SUELO</t>
  </si>
  <si>
    <t>VALOR CATASTRAL VUELO</t>
  </si>
  <si>
    <t>AÑO</t>
  </si>
  <si>
    <t>VALOR CATASTRAL</t>
  </si>
  <si>
    <t>DÍAS</t>
  </si>
  <si>
    <t>BASE IMPONIBLE</t>
  </si>
  <si>
    <t>TITULARIDAD</t>
  </si>
  <si>
    <t>TIPO GRAVAMEN</t>
  </si>
  <si>
    <t>CUOTA LÍQUIDA</t>
  </si>
  <si>
    <t>REVISADO</t>
  </si>
  <si>
    <t>NO</t>
  </si>
  <si>
    <t>FACTURA DEMOLICIÓN</t>
  </si>
  <si>
    <t>6/000002</t>
  </si>
  <si>
    <t>6/000030</t>
  </si>
  <si>
    <t>IKEA IBERICA SA</t>
  </si>
  <si>
    <t>SILLA</t>
  </si>
  <si>
    <t>MAX COLCHON</t>
  </si>
  <si>
    <t xml:space="preserve">FUNDA COLCHON </t>
  </si>
  <si>
    <t>AMAZON</t>
  </si>
  <si>
    <t xml:space="preserve">MARCO DE LA CAMA </t>
  </si>
  <si>
    <t>LEROY MERLIN</t>
  </si>
  <si>
    <t>ESTRUCTURA DE CAMA CON PLATAFORMA</t>
  </si>
  <si>
    <t>FUNDA NORDICA</t>
  </si>
  <si>
    <t>PAVIMENTOS VILLAREAL</t>
  </si>
  <si>
    <t>FV305</t>
  </si>
  <si>
    <t>CONFORAMA</t>
  </si>
  <si>
    <t>COLCHON</t>
  </si>
  <si>
    <t>FV 401</t>
  </si>
  <si>
    <t>798-24</t>
  </si>
  <si>
    <t>PARQUETS</t>
  </si>
  <si>
    <t xml:space="preserve">LAMPARA </t>
  </si>
  <si>
    <t>ERIZHO</t>
  </si>
  <si>
    <t>SKLUM</t>
  </si>
  <si>
    <t>DECORACIÓN</t>
  </si>
  <si>
    <t>MENAJE HOGAR</t>
  </si>
  <si>
    <t>IKEA</t>
  </si>
  <si>
    <t>TABURETES</t>
  </si>
  <si>
    <t>ESPEJO - ESCRITORIO</t>
  </si>
  <si>
    <t>SET DE JADINERIA</t>
  </si>
  <si>
    <t>ASESORAMIENTO DE DISEÑO</t>
  </si>
  <si>
    <t>ICIO</t>
  </si>
  <si>
    <t>594-24</t>
  </si>
  <si>
    <t>FV285</t>
  </si>
  <si>
    <t>169/24</t>
  </si>
  <si>
    <t>REFORMA</t>
  </si>
  <si>
    <t>219/24</t>
  </si>
  <si>
    <t>199/24</t>
  </si>
  <si>
    <t xml:space="preserve">TOTAL </t>
  </si>
  <si>
    <t>IMPORTE A AMORTIZAR</t>
  </si>
  <si>
    <t>EJERCICIO</t>
  </si>
  <si>
    <t>DIAS ALQULADO</t>
  </si>
  <si>
    <t>DIAS NO ALQUILADO</t>
  </si>
  <si>
    <t>PRECIO DE ADQUISICIÓN</t>
  </si>
  <si>
    <t>TPO</t>
  </si>
  <si>
    <t>INMOBILIARIA</t>
  </si>
  <si>
    <t>ANUALIDAD</t>
  </si>
  <si>
    <t>AMORT. ACUMULADA</t>
  </si>
  <si>
    <t>AMORT. ACUMULADAD</t>
  </si>
  <si>
    <t>INGRESOS</t>
  </si>
  <si>
    <t>GASTOS</t>
  </si>
  <si>
    <t>TIPO DE GRAVAMEN</t>
  </si>
  <si>
    <t>EMIVASA</t>
  </si>
  <si>
    <t>LUZ</t>
  </si>
  <si>
    <t>TELEFONO</t>
  </si>
  <si>
    <t>IBI</t>
  </si>
  <si>
    <t>SEGURO</t>
  </si>
  <si>
    <t>AMORTIZACION INMUEBLE</t>
  </si>
  <si>
    <t>AMORTIZACION REFORMA</t>
  </si>
  <si>
    <t>AMORTIZACION MUEBLES</t>
  </si>
  <si>
    <t>TOTAL GASTOS</t>
  </si>
  <si>
    <t>CUOTA LIQUIDA</t>
  </si>
  <si>
    <t>Name and Surname</t>
  </si>
  <si>
    <t xml:space="preserve">number NIE - see https://terretaspain.com/nie/ </t>
  </si>
  <si>
    <t>Nationality</t>
  </si>
  <si>
    <t>Birth date</t>
  </si>
  <si>
    <t>Place where you were born</t>
  </si>
  <si>
    <t>ZIP Code, City, Country</t>
  </si>
  <si>
    <t>Date of acquisition</t>
  </si>
  <si>
    <t xml:space="preserve">Address of residence </t>
  </si>
  <si>
    <t xml:space="preserve">Address of the property </t>
  </si>
  <si>
    <t>Find the "referencia catastral" : https://terretaspain.com/reference-cadastrale-espagne/</t>
  </si>
  <si>
    <t>Owner 1</t>
  </si>
  <si>
    <t>Owner 2</t>
  </si>
  <si>
    <t>ARCHITECTS</t>
  </si>
  <si>
    <t>Date of Acquisition</t>
  </si>
  <si>
    <t>Referencia catastral</t>
  </si>
  <si>
    <t>Address of the property</t>
  </si>
  <si>
    <t>ZIP code, city, country</t>
  </si>
  <si>
    <t>Water</t>
  </si>
  <si>
    <t>Electricity</t>
  </si>
  <si>
    <t>Phone</t>
  </si>
  <si>
    <t>Property Tax</t>
  </si>
  <si>
    <t>Home Insurance</t>
  </si>
  <si>
    <t>Amortization property</t>
  </si>
  <si>
    <t>Amortization renovation</t>
  </si>
  <si>
    <t>Amortization interior design</t>
  </si>
  <si>
    <t>Total costs</t>
  </si>
  <si>
    <t>Days the property was rented</t>
  </si>
  <si>
    <t>Days the property was not rented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</si>
</sst>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&quot;€&quot;;[Red]\-#,##0\ &quot;€&quot;"/>
    <numFmt numFmtId="165" formatCode="#,##0.00\ &quot;€&quot;;[Red]\-#,##0.00\ &quot;€&quot;"/>
    <numFmt numFmtId="166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3">
    <xf numFmtId="0" fontId="0" fillId="0" borderId="0" xfId="0"/>
    <xf numFmtId="14" fontId="0" fillId="0" borderId="0" xfId="0" applyNumberFormat="1"/>
    <xf numFmtId="16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165" fontId="0" fillId="0" borderId="0" xfId="0" applyNumberFormat="1"/>
    <xf numFmtId="14" fontId="0" fillId="0" borderId="2" xfId="0" applyNumberFormat="1" applyBorder="1"/>
    <xf numFmtId="14" fontId="0" fillId="0" borderId="3" xfId="0" applyNumberFormat="1" applyBorder="1"/>
    <xf numFmtId="0" fontId="0" fillId="0" borderId="3" xfId="0" applyBorder="1"/>
    <xf numFmtId="165" fontId="0" fillId="0" borderId="4" xfId="0" applyNumberFormat="1" applyBorder="1"/>
    <xf numFmtId="14" fontId="0" fillId="0" borderId="5" xfId="0" applyNumberFormat="1" applyBorder="1"/>
    <xf numFmtId="165" fontId="0" fillId="0" borderId="6" xfId="0" applyNumberForma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5" fontId="0" fillId="0" borderId="9" xfId="0" applyNumberFormat="1" applyBorder="1"/>
    <xf numFmtId="164" fontId="0" fillId="0" borderId="6" xfId="0" applyNumberFormat="1" applyBorder="1"/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2" xfId="0" applyBorder="1"/>
    <xf numFmtId="14" fontId="0" fillId="0" borderId="4" xfId="0" applyNumberFormat="1" applyBorder="1"/>
    <xf numFmtId="166" fontId="0" fillId="0" borderId="6" xfId="0" applyNumberFormat="1" applyBorder="1"/>
    <xf numFmtId="0" fontId="0" fillId="0" borderId="6" xfId="0" applyBorder="1" applyAlignment="1">
      <alignment horizontal="right"/>
    </xf>
    <xf numFmtId="0" fontId="0" fillId="0" borderId="9" xfId="0" applyBorder="1" applyAlignment="1">
      <alignment horizontal="right"/>
    </xf>
    <xf numFmtId="166" fontId="0" fillId="0" borderId="3" xfId="0" applyNumberFormat="1" applyBorder="1"/>
    <xf numFmtId="166" fontId="0" fillId="0" borderId="8" xfId="0" applyNumberFormat="1" applyBorder="1"/>
    <xf numFmtId="9" fontId="0" fillId="0" borderId="4" xfId="0" applyNumberFormat="1" applyBorder="1"/>
    <xf numFmtId="10" fontId="0" fillId="0" borderId="6" xfId="1" applyNumberFormat="1" applyFont="1" applyBorder="1"/>
    <xf numFmtId="10" fontId="0" fillId="0" borderId="9" xfId="1" applyNumberFormat="1" applyFont="1" applyBorder="1"/>
    <xf numFmtId="166" fontId="0" fillId="0" borderId="4" xfId="0" applyNumberFormat="1" applyBorder="1"/>
    <xf numFmtId="166" fontId="0" fillId="0" borderId="9" xfId="0" applyNumberFormat="1" applyBorder="1"/>
    <xf numFmtId="0" fontId="1" fillId="0" borderId="10" xfId="0" applyFont="1" applyBorder="1"/>
    <xf numFmtId="166" fontId="1" fillId="0" borderId="11" xfId="0" applyNumberFormat="1" applyFon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166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166" fontId="0" fillId="0" borderId="8" xfId="0" applyNumberFormat="1" applyBorder="1" applyAlignment="1">
      <alignment horizontal="center"/>
    </xf>
    <xf numFmtId="9" fontId="0" fillId="0" borderId="8" xfId="0" applyNumberFormat="1" applyBorder="1" applyAlignment="1">
      <alignment horizontal="center"/>
    </xf>
    <xf numFmtId="166" fontId="0" fillId="0" borderId="9" xfId="0" applyNumberFormat="1" applyBorder="1" applyAlignment="1">
      <alignment horizontal="center"/>
    </xf>
    <xf numFmtId="0" fontId="1" fillId="0" borderId="0" xfId="0" applyFont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39"/>
  <sheetViews>
    <sheetView topLeftCell="F1" workbookViewId="0">
      <selection activeCell="B40" sqref="B40"/>
    </sheetView>
  </sheetViews>
  <sheetFormatPr baseColWidth="10" defaultColWidth="9.1640625" defaultRowHeight="15" x14ac:dyDescent="0.2"/>
  <cols>
    <col min="2" max="2" width="26.33203125" bestFit="1" customWidth="1"/>
    <col min="3" max="3" width="20.5" customWidth="1"/>
    <col min="4" max="4" width="4.1640625" bestFit="1" customWidth="1"/>
    <col min="5" max="5" width="12" customWidth="1"/>
    <col min="6" max="6" width="14.5" customWidth="1"/>
    <col min="7" max="7" width="24.6640625" bestFit="1" customWidth="1"/>
    <col min="8" max="8" width="39" customWidth="1"/>
    <col min="9" max="9" width="10" bestFit="1" customWidth="1"/>
    <col min="10" max="10" width="31.5" bestFit="1" customWidth="1"/>
    <col min="11" max="11" width="15.83203125" bestFit="1" customWidth="1"/>
    <col min="12" max="12" width="16.5" bestFit="1" customWidth="1"/>
    <col min="13" max="13" width="19.5" customWidth="1"/>
    <col min="14" max="14" width="15.1640625" bestFit="1" customWidth="1"/>
    <col min="16" max="16" width="17.1640625" customWidth="1"/>
    <col min="17" max="17" width="26.1640625" customWidth="1"/>
    <col min="18" max="18" width="20.5" customWidth="1"/>
  </cols>
  <sheetData>
    <row r="2" spans="7:18" x14ac:dyDescent="0.2">
      <c r="H2" s="52" t="s">
        <v>91</v>
      </c>
      <c r="I2" s="52"/>
      <c r="J2" s="52" t="s">
        <v>92</v>
      </c>
    </row>
    <row r="4" spans="7:18" x14ac:dyDescent="0.2">
      <c r="G4" s="52" t="s">
        <v>0</v>
      </c>
      <c r="H4" t="s">
        <v>81</v>
      </c>
      <c r="J4" t="s">
        <v>81</v>
      </c>
    </row>
    <row r="5" spans="7:18" x14ac:dyDescent="0.2">
      <c r="G5" s="52" t="s">
        <v>1</v>
      </c>
      <c r="H5" t="s">
        <v>82</v>
      </c>
      <c r="J5" t="s">
        <v>82</v>
      </c>
      <c r="R5">
        <v>2025</v>
      </c>
    </row>
    <row r="6" spans="7:18" x14ac:dyDescent="0.2">
      <c r="G6" s="52" t="s">
        <v>2</v>
      </c>
      <c r="H6" t="s">
        <v>83</v>
      </c>
      <c r="J6" t="s">
        <v>83</v>
      </c>
    </row>
    <row r="7" spans="7:18" x14ac:dyDescent="0.2">
      <c r="G7" s="52" t="s">
        <v>3</v>
      </c>
      <c r="H7" s="1" t="s">
        <v>84</v>
      </c>
      <c r="J7" s="1" t="s">
        <v>84</v>
      </c>
      <c r="P7" t="s">
        <v>98</v>
      </c>
      <c r="Q7" t="s">
        <v>71</v>
      </c>
      <c r="R7" s="2">
        <f>38.12+48.48+55.82+57.08</f>
        <v>199.5</v>
      </c>
    </row>
    <row r="8" spans="7:18" x14ac:dyDescent="0.2">
      <c r="G8" s="52" t="s">
        <v>4</v>
      </c>
      <c r="H8" t="s">
        <v>85</v>
      </c>
      <c r="J8" t="s">
        <v>85</v>
      </c>
      <c r="P8" t="s">
        <v>99</v>
      </c>
      <c r="Q8" t="s">
        <v>72</v>
      </c>
      <c r="R8" s="2">
        <f>54.89+79.57+82.09+113.55+83.55</f>
        <v>413.65</v>
      </c>
    </row>
    <row r="9" spans="7:18" x14ac:dyDescent="0.2">
      <c r="G9" s="52" t="s">
        <v>5</v>
      </c>
      <c r="H9" t="s">
        <v>88</v>
      </c>
      <c r="J9" t="s">
        <v>88</v>
      </c>
      <c r="P9" t="s">
        <v>100</v>
      </c>
      <c r="Q9" t="s">
        <v>73</v>
      </c>
      <c r="R9" s="2">
        <f>31.43+38.9+40.9+41.25+40.9+40.4+42.23+43.9</f>
        <v>319.90999999999997</v>
      </c>
    </row>
    <row r="10" spans="7:18" x14ac:dyDescent="0.2">
      <c r="G10" s="52"/>
      <c r="H10" t="s">
        <v>86</v>
      </c>
      <c r="J10" t="s">
        <v>86</v>
      </c>
      <c r="P10" t="s">
        <v>101</v>
      </c>
      <c r="Q10" t="s">
        <v>74</v>
      </c>
      <c r="R10" s="2">
        <f>98.86*8/12</f>
        <v>65.906666666666666</v>
      </c>
    </row>
    <row r="11" spans="7:18" x14ac:dyDescent="0.2">
      <c r="G11" s="52"/>
      <c r="P11" t="s">
        <v>102</v>
      </c>
      <c r="Q11" t="s">
        <v>75</v>
      </c>
      <c r="R11" s="2">
        <f>245.54*8/12</f>
        <v>163.69333333333333</v>
      </c>
    </row>
    <row r="12" spans="7:18" x14ac:dyDescent="0.2">
      <c r="G12" s="52" t="s">
        <v>6</v>
      </c>
      <c r="H12" s="1" t="s">
        <v>87</v>
      </c>
      <c r="P12" t="s">
        <v>103</v>
      </c>
      <c r="Q12" t="s">
        <v>76</v>
      </c>
      <c r="R12" s="2">
        <f>'AMORTIZACION '!Q27</f>
        <v>2587.8583772134698</v>
      </c>
    </row>
    <row r="13" spans="7:18" x14ac:dyDescent="0.2">
      <c r="G13" s="52" t="s">
        <v>8</v>
      </c>
      <c r="H13" s="2">
        <v>146000</v>
      </c>
      <c r="P13" t="s">
        <v>104</v>
      </c>
      <c r="Q13" t="s">
        <v>77</v>
      </c>
      <c r="R13" s="2">
        <f>'AMORTIZACION '!D21</f>
        <v>1330.2076471232876</v>
      </c>
    </row>
    <row r="14" spans="7:18" x14ac:dyDescent="0.2">
      <c r="G14" s="52" t="s">
        <v>7</v>
      </c>
      <c r="H14" t="s">
        <v>90</v>
      </c>
      <c r="P14" t="s">
        <v>105</v>
      </c>
      <c r="Q14" t="s">
        <v>78</v>
      </c>
      <c r="R14" s="2">
        <f>'AMORTIZACION '!K36</f>
        <v>898.76965479452053</v>
      </c>
    </row>
    <row r="15" spans="7:18" x14ac:dyDescent="0.2">
      <c r="G15" s="52" t="s">
        <v>5</v>
      </c>
      <c r="H15" t="s">
        <v>89</v>
      </c>
    </row>
    <row r="16" spans="7:18" x14ac:dyDescent="0.2">
      <c r="G16" s="52"/>
      <c r="H16" t="s">
        <v>86</v>
      </c>
      <c r="P16" t="s">
        <v>106</v>
      </c>
      <c r="Q16" t="s">
        <v>79</v>
      </c>
      <c r="R16" s="2">
        <f>SUM(R7:R14)</f>
        <v>5979.4956791312779</v>
      </c>
    </row>
    <row r="17" spans="5:14" x14ac:dyDescent="0.2">
      <c r="G17" s="52"/>
    </row>
    <row r="18" spans="5:14" x14ac:dyDescent="0.2">
      <c r="G18" s="52" t="s">
        <v>9</v>
      </c>
      <c r="H18" s="2">
        <v>17091.150000000001</v>
      </c>
    </row>
    <row r="19" spans="5:14" x14ac:dyDescent="0.2">
      <c r="G19" s="52" t="s">
        <v>10</v>
      </c>
      <c r="H19" s="2">
        <v>3772.78</v>
      </c>
    </row>
    <row r="20" spans="5:14" x14ac:dyDescent="0.2">
      <c r="G20" s="52" t="s">
        <v>11</v>
      </c>
      <c r="H20" s="2">
        <f>H18-H19</f>
        <v>13318.37</v>
      </c>
    </row>
    <row r="23" spans="5:14" x14ac:dyDescent="0.2">
      <c r="G23" s="3" t="s">
        <v>12</v>
      </c>
      <c r="H23" s="3" t="s">
        <v>13</v>
      </c>
      <c r="I23" s="3" t="s">
        <v>19</v>
      </c>
      <c r="J23" s="3" t="s">
        <v>14</v>
      </c>
      <c r="K23" s="3" t="s">
        <v>16</v>
      </c>
      <c r="L23" s="3" t="s">
        <v>15</v>
      </c>
      <c r="M23" s="3" t="s">
        <v>17</v>
      </c>
      <c r="N23" s="3" t="s">
        <v>18</v>
      </c>
    </row>
    <row r="24" spans="5:14" x14ac:dyDescent="0.2">
      <c r="G24" s="4"/>
      <c r="H24" s="4"/>
      <c r="I24" s="4"/>
      <c r="J24" s="4"/>
      <c r="K24" s="4"/>
      <c r="L24" s="4"/>
      <c r="M24" s="4"/>
      <c r="N24" s="4"/>
    </row>
    <row r="25" spans="5:14" x14ac:dyDescent="0.2">
      <c r="F25" t="s">
        <v>91</v>
      </c>
      <c r="G25" s="5">
        <v>2023</v>
      </c>
      <c r="H25" s="6">
        <f>H18</f>
        <v>17091.150000000001</v>
      </c>
      <c r="I25" s="6" t="s">
        <v>20</v>
      </c>
      <c r="J25" s="5">
        <v>27</v>
      </c>
      <c r="K25" s="7">
        <v>0.5</v>
      </c>
      <c r="L25" s="6">
        <f>H25*2%*(J25/365)*K25</f>
        <v>12.642768493150687</v>
      </c>
      <c r="M25" s="7">
        <v>0.19</v>
      </c>
      <c r="N25" s="6">
        <f>L25*M25</f>
        <v>2.4021260136986307</v>
      </c>
    </row>
    <row r="26" spans="5:14" x14ac:dyDescent="0.2">
      <c r="F26" t="s">
        <v>92</v>
      </c>
      <c r="G26" s="5">
        <v>2023</v>
      </c>
      <c r="H26" s="6">
        <f>H18</f>
        <v>17091.150000000001</v>
      </c>
      <c r="I26" s="5" t="s">
        <v>20</v>
      </c>
      <c r="J26" s="5">
        <v>27</v>
      </c>
      <c r="K26" s="7">
        <v>0.5</v>
      </c>
      <c r="L26" s="6">
        <f>H26*2%*(J26/365)*K26</f>
        <v>12.642768493150687</v>
      </c>
      <c r="M26" s="7">
        <v>0.19</v>
      </c>
      <c r="N26" s="6">
        <f>L26*M26</f>
        <v>2.4021260136986307</v>
      </c>
    </row>
    <row r="27" spans="5:14" x14ac:dyDescent="0.2">
      <c r="F27" t="s">
        <v>91</v>
      </c>
      <c r="G27" s="5">
        <v>2024</v>
      </c>
      <c r="H27" s="6">
        <f>H18</f>
        <v>17091.150000000001</v>
      </c>
      <c r="I27" s="5" t="s">
        <v>20</v>
      </c>
      <c r="J27" s="5">
        <v>366</v>
      </c>
      <c r="K27" s="7">
        <v>0.5</v>
      </c>
      <c r="L27" s="6">
        <f>H27*2%*K27</f>
        <v>170.91150000000002</v>
      </c>
      <c r="M27" s="7">
        <v>0.19</v>
      </c>
      <c r="N27" s="6">
        <f>L27*M27</f>
        <v>32.473185000000001</v>
      </c>
    </row>
    <row r="28" spans="5:14" x14ac:dyDescent="0.2">
      <c r="F28" t="s">
        <v>92</v>
      </c>
      <c r="G28" s="5">
        <v>2024</v>
      </c>
      <c r="H28" s="6">
        <f>H18</f>
        <v>17091.150000000001</v>
      </c>
      <c r="I28" s="5" t="s">
        <v>20</v>
      </c>
      <c r="J28" s="5">
        <v>366</v>
      </c>
      <c r="K28" s="7">
        <v>0.5</v>
      </c>
      <c r="L28" s="6">
        <f>H28*2%*K28</f>
        <v>170.91150000000002</v>
      </c>
      <c r="M28" s="7">
        <v>0.19</v>
      </c>
      <c r="N28" s="6">
        <f>L28*M28</f>
        <v>32.473185000000001</v>
      </c>
    </row>
    <row r="30" spans="5:14" ht="16" thickBot="1" x14ac:dyDescent="0.25"/>
    <row r="31" spans="5:14" x14ac:dyDescent="0.2">
      <c r="E31" s="37"/>
      <c r="F31" s="38"/>
      <c r="G31" s="38" t="s">
        <v>59</v>
      </c>
      <c r="H31" s="38" t="s">
        <v>68</v>
      </c>
      <c r="I31" s="38" t="s">
        <v>69</v>
      </c>
      <c r="J31" s="38" t="s">
        <v>15</v>
      </c>
      <c r="K31" s="38" t="s">
        <v>15</v>
      </c>
      <c r="L31" s="38" t="s">
        <v>16</v>
      </c>
      <c r="M31" s="38" t="s">
        <v>70</v>
      </c>
      <c r="N31" s="39" t="s">
        <v>80</v>
      </c>
    </row>
    <row r="32" spans="5:14" x14ac:dyDescent="0.2">
      <c r="E32" s="40"/>
      <c r="F32" s="21"/>
      <c r="G32" s="21"/>
      <c r="H32" s="21"/>
      <c r="I32" s="21"/>
      <c r="J32" s="21"/>
      <c r="K32" s="21"/>
      <c r="L32" s="21"/>
      <c r="M32" s="21"/>
      <c r="N32" s="41"/>
    </row>
    <row r="33" spans="1:14" x14ac:dyDescent="0.2">
      <c r="A33" t="s">
        <v>91</v>
      </c>
      <c r="B33" t="s">
        <v>107</v>
      </c>
      <c r="C33" t="s">
        <v>60</v>
      </c>
      <c r="D33">
        <f>F33-E33</f>
        <v>244</v>
      </c>
      <c r="E33" s="42">
        <v>45778</v>
      </c>
      <c r="F33" s="43">
        <v>46022</v>
      </c>
      <c r="G33" s="21">
        <v>2025</v>
      </c>
      <c r="H33" s="21">
        <v>21784.22</v>
      </c>
      <c r="I33" s="22">
        <f>R16</f>
        <v>5979.4956791312779</v>
      </c>
      <c r="J33" s="22"/>
      <c r="K33" s="22">
        <f>H33-I33</f>
        <v>15804.724320868723</v>
      </c>
      <c r="L33" s="44">
        <v>0.5</v>
      </c>
      <c r="M33" s="44">
        <v>0.19</v>
      </c>
      <c r="N33" s="45">
        <f>K33*M33*0.5</f>
        <v>1501.4488104825286</v>
      </c>
    </row>
    <row r="34" spans="1:14" x14ac:dyDescent="0.2">
      <c r="A34" t="s">
        <v>92</v>
      </c>
      <c r="B34" t="s">
        <v>107</v>
      </c>
      <c r="C34" t="s">
        <v>60</v>
      </c>
      <c r="D34">
        <f>F34-E34</f>
        <v>244</v>
      </c>
      <c r="E34" s="42">
        <v>45778</v>
      </c>
      <c r="F34" s="43">
        <v>46022</v>
      </c>
      <c r="G34" s="21">
        <v>2025</v>
      </c>
      <c r="H34" s="21">
        <v>21784.22</v>
      </c>
      <c r="I34" s="22">
        <f>I33</f>
        <v>5979.4956791312779</v>
      </c>
      <c r="J34" s="22"/>
      <c r="K34" s="22">
        <f>H34-I34</f>
        <v>15804.724320868723</v>
      </c>
      <c r="L34" s="44">
        <v>0.5</v>
      </c>
      <c r="M34" s="44">
        <v>0.19</v>
      </c>
      <c r="N34" s="45">
        <f>K34*M34*0.5</f>
        <v>1501.4488104825286</v>
      </c>
    </row>
    <row r="35" spans="1:14" x14ac:dyDescent="0.2">
      <c r="E35" s="40"/>
      <c r="F35" s="21"/>
      <c r="G35" s="21"/>
      <c r="H35" s="21"/>
      <c r="I35" s="21"/>
      <c r="J35" s="21"/>
      <c r="K35" s="21"/>
      <c r="L35" s="21"/>
      <c r="M35" s="21"/>
      <c r="N35" s="41"/>
    </row>
    <row r="36" spans="1:14" x14ac:dyDescent="0.2">
      <c r="A36" t="s">
        <v>91</v>
      </c>
      <c r="B36" t="s">
        <v>108</v>
      </c>
      <c r="C36" t="s">
        <v>61</v>
      </c>
      <c r="D36">
        <v>121</v>
      </c>
      <c r="E36" s="42">
        <v>45658</v>
      </c>
      <c r="F36" s="43">
        <v>45777</v>
      </c>
      <c r="G36" s="21">
        <v>2025</v>
      </c>
      <c r="H36" s="22">
        <f>H28</f>
        <v>17091.150000000001</v>
      </c>
      <c r="I36" s="21" t="s">
        <v>20</v>
      </c>
      <c r="J36" s="21">
        <f>D36</f>
        <v>121</v>
      </c>
      <c r="K36" s="22">
        <f>H36*0.02*121/365</f>
        <v>113.31666575342467</v>
      </c>
      <c r="L36" s="44">
        <v>0.5</v>
      </c>
      <c r="M36" s="44">
        <v>0.19</v>
      </c>
      <c r="N36" s="45">
        <f>K36*L36*M36</f>
        <v>10.765083246575344</v>
      </c>
    </row>
    <row r="37" spans="1:14" ht="16" thickBot="1" x14ac:dyDescent="0.25">
      <c r="A37" t="s">
        <v>92</v>
      </c>
      <c r="B37" t="s">
        <v>108</v>
      </c>
      <c r="C37" t="s">
        <v>61</v>
      </c>
      <c r="D37">
        <v>121</v>
      </c>
      <c r="E37" s="46">
        <v>45658</v>
      </c>
      <c r="F37" s="47">
        <v>45777</v>
      </c>
      <c r="G37" s="48">
        <v>2025</v>
      </c>
      <c r="H37" s="49">
        <f>H36</f>
        <v>17091.150000000001</v>
      </c>
      <c r="I37" s="48" t="s">
        <v>20</v>
      </c>
      <c r="J37" s="48">
        <f>D37</f>
        <v>121</v>
      </c>
      <c r="K37" s="49">
        <f>H37*0.02*121/365</f>
        <v>113.31666575342467</v>
      </c>
      <c r="L37" s="50">
        <v>0.5</v>
      </c>
      <c r="M37" s="50">
        <v>0.19</v>
      </c>
      <c r="N37" s="51">
        <f>N36</f>
        <v>10.765083246575344</v>
      </c>
    </row>
    <row r="38" spans="1:14" x14ac:dyDescent="0.2">
      <c r="E38" s="21"/>
      <c r="F38" s="21"/>
      <c r="G38" s="21"/>
      <c r="H38" s="21"/>
      <c r="I38" s="21"/>
      <c r="J38" s="21"/>
      <c r="K38" s="21"/>
      <c r="L38" s="21"/>
      <c r="M38" s="21"/>
      <c r="N38" s="21"/>
    </row>
    <row r="39" spans="1:14" x14ac:dyDescent="0.2">
      <c r="N39" s="2">
        <f>N33+N34+N36+N37</f>
        <v>3024.4277874582076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9B560-C156-471B-A5D2-1FDC659B6E52}">
  <dimension ref="C4:R61"/>
  <sheetViews>
    <sheetView tabSelected="1" workbookViewId="0">
      <selection activeCell="E11" sqref="E11"/>
    </sheetView>
  </sheetViews>
  <sheetFormatPr baseColWidth="10" defaultRowHeight="15" x14ac:dyDescent="0.2"/>
  <cols>
    <col min="3" max="3" width="27" customWidth="1"/>
    <col min="4" max="4" width="20.6640625" customWidth="1"/>
    <col min="5" max="5" width="24.6640625" customWidth="1"/>
    <col min="11" max="11" width="17.5" customWidth="1"/>
    <col min="12" max="12" width="28.5" customWidth="1"/>
    <col min="16" max="16" width="41.1640625" customWidth="1"/>
    <col min="17" max="17" width="44.6640625" customWidth="1"/>
    <col min="18" max="18" width="28.33203125" customWidth="1"/>
  </cols>
  <sheetData>
    <row r="4" spans="3:18" ht="16" thickBot="1" x14ac:dyDescent="0.25"/>
    <row r="5" spans="3:18" x14ac:dyDescent="0.2">
      <c r="C5" s="9">
        <v>45302</v>
      </c>
      <c r="D5" s="10" t="s">
        <v>22</v>
      </c>
      <c r="E5" s="11" t="s">
        <v>21</v>
      </c>
      <c r="F5" s="12">
        <v>3282.64</v>
      </c>
      <c r="J5" s="9">
        <v>45734</v>
      </c>
      <c r="K5" s="11" t="s">
        <v>24</v>
      </c>
      <c r="L5" s="11" t="s">
        <v>25</v>
      </c>
      <c r="M5" s="12">
        <v>15.97</v>
      </c>
      <c r="P5" s="23" t="s">
        <v>6</v>
      </c>
      <c r="Q5" s="24" t="s">
        <v>94</v>
      </c>
    </row>
    <row r="6" spans="3:18" x14ac:dyDescent="0.2">
      <c r="C6" s="13">
        <v>45322</v>
      </c>
      <c r="D6" t="s">
        <v>23</v>
      </c>
      <c r="E6" t="s">
        <v>21</v>
      </c>
      <c r="F6" s="14">
        <v>3282.64</v>
      </c>
      <c r="J6" s="13">
        <v>45598</v>
      </c>
      <c r="K6" t="s">
        <v>26</v>
      </c>
      <c r="L6" t="s">
        <v>27</v>
      </c>
      <c r="M6" s="14">
        <v>43.47</v>
      </c>
      <c r="P6" s="15" t="s">
        <v>8</v>
      </c>
      <c r="Q6" s="25">
        <f>146000</f>
        <v>146000</v>
      </c>
    </row>
    <row r="7" spans="3:18" x14ac:dyDescent="0.2">
      <c r="C7" s="13">
        <v>45490</v>
      </c>
      <c r="D7" t="s">
        <v>34</v>
      </c>
      <c r="E7" t="s">
        <v>33</v>
      </c>
      <c r="F7" s="14">
        <v>106.48</v>
      </c>
      <c r="J7" s="13">
        <v>45623</v>
      </c>
      <c r="K7" t="s">
        <v>28</v>
      </c>
      <c r="L7" t="s">
        <v>29</v>
      </c>
      <c r="M7" s="16">
        <v>65.900000000000006</v>
      </c>
      <c r="P7" s="15" t="s">
        <v>7</v>
      </c>
      <c r="Q7" s="26" t="s">
        <v>95</v>
      </c>
    </row>
    <row r="8" spans="3:18" x14ac:dyDescent="0.2">
      <c r="C8" s="13">
        <v>45553</v>
      </c>
      <c r="D8" t="s">
        <v>37</v>
      </c>
      <c r="E8" t="s">
        <v>33</v>
      </c>
      <c r="F8" s="14">
        <v>163.76</v>
      </c>
      <c r="J8" s="13">
        <v>45623</v>
      </c>
      <c r="K8" t="s">
        <v>28</v>
      </c>
      <c r="L8" t="s">
        <v>29</v>
      </c>
      <c r="M8" s="14">
        <v>65.900000000000006</v>
      </c>
      <c r="P8" s="15" t="s">
        <v>5</v>
      </c>
      <c r="Q8" s="26" t="s">
        <v>96</v>
      </c>
    </row>
    <row r="9" spans="3:18" ht="16" thickBot="1" x14ac:dyDescent="0.25">
      <c r="C9" s="13">
        <v>45503</v>
      </c>
      <c r="D9" t="s">
        <v>38</v>
      </c>
      <c r="E9" t="s">
        <v>39</v>
      </c>
      <c r="F9" s="14">
        <v>226.51</v>
      </c>
      <c r="J9" s="13">
        <v>45623</v>
      </c>
      <c r="K9" t="s">
        <v>28</v>
      </c>
      <c r="L9" t="s">
        <v>29</v>
      </c>
      <c r="M9" s="14">
        <v>65.900000000000006</v>
      </c>
      <c r="P9" s="17"/>
      <c r="Q9" s="27" t="s">
        <v>97</v>
      </c>
    </row>
    <row r="10" spans="3:18" ht="16" thickBot="1" x14ac:dyDescent="0.25">
      <c r="C10" s="15"/>
      <c r="E10" t="s">
        <v>50</v>
      </c>
      <c r="F10" s="14">
        <v>1693.62</v>
      </c>
      <c r="J10" s="13">
        <v>45597</v>
      </c>
      <c r="K10" t="s">
        <v>30</v>
      </c>
      <c r="M10" s="14">
        <v>68.14</v>
      </c>
    </row>
    <row r="11" spans="3:18" x14ac:dyDescent="0.2">
      <c r="C11" s="13">
        <v>45457</v>
      </c>
      <c r="D11" t="s">
        <v>51</v>
      </c>
      <c r="E11" t="s">
        <v>39</v>
      </c>
      <c r="F11" s="14">
        <v>2142.4299999999998</v>
      </c>
      <c r="J11" s="13">
        <v>45664</v>
      </c>
      <c r="K11" t="s">
        <v>28</v>
      </c>
      <c r="L11" t="s">
        <v>31</v>
      </c>
      <c r="M11" s="14">
        <v>90.13</v>
      </c>
      <c r="P11" s="23" t="s">
        <v>9</v>
      </c>
      <c r="Q11" s="28">
        <v>17091.150000000001</v>
      </c>
      <c r="R11" s="30">
        <v>1</v>
      </c>
    </row>
    <row r="12" spans="3:18" x14ac:dyDescent="0.2">
      <c r="C12" s="13">
        <v>45478</v>
      </c>
      <c r="D12" t="s">
        <v>52</v>
      </c>
      <c r="E12" t="s">
        <v>33</v>
      </c>
      <c r="F12" s="14">
        <v>2225.9499999999998</v>
      </c>
      <c r="J12" s="13">
        <v>45598</v>
      </c>
      <c r="K12" t="s">
        <v>26</v>
      </c>
      <c r="L12" t="s">
        <v>32</v>
      </c>
      <c r="M12" s="14">
        <v>94.58</v>
      </c>
      <c r="P12" s="15" t="s">
        <v>10</v>
      </c>
      <c r="Q12" s="2">
        <v>3772.78</v>
      </c>
      <c r="R12" s="31">
        <f>Q12/Q11</f>
        <v>0.22074465439715876</v>
      </c>
    </row>
    <row r="13" spans="3:18" ht="16" thickBot="1" x14ac:dyDescent="0.25">
      <c r="C13" s="13">
        <v>45471</v>
      </c>
      <c r="D13" t="s">
        <v>53</v>
      </c>
      <c r="E13" t="s">
        <v>54</v>
      </c>
      <c r="F13" s="14">
        <v>2873.75</v>
      </c>
      <c r="J13" s="13">
        <v>45598</v>
      </c>
      <c r="K13" t="s">
        <v>35</v>
      </c>
      <c r="L13" t="s">
        <v>36</v>
      </c>
      <c r="M13" s="14">
        <v>159</v>
      </c>
      <c r="P13" s="17" t="s">
        <v>11</v>
      </c>
      <c r="Q13" s="29">
        <f>Q11-Q12</f>
        <v>13318.37</v>
      </c>
      <c r="R13" s="32">
        <f>Q13/Q11</f>
        <v>0.77925534560284127</v>
      </c>
    </row>
    <row r="14" spans="3:18" x14ac:dyDescent="0.2">
      <c r="C14" s="13">
        <v>45534</v>
      </c>
      <c r="D14" t="s">
        <v>55</v>
      </c>
      <c r="E14" t="s">
        <v>54</v>
      </c>
      <c r="F14" s="14">
        <v>15858.47</v>
      </c>
      <c r="J14" s="13">
        <v>45605</v>
      </c>
      <c r="K14" t="s">
        <v>35</v>
      </c>
      <c r="L14" t="s">
        <v>36</v>
      </c>
      <c r="M14" s="14">
        <v>159</v>
      </c>
    </row>
    <row r="15" spans="3:18" ht="16" thickBot="1" x14ac:dyDescent="0.25">
      <c r="C15" s="13">
        <v>45502</v>
      </c>
      <c r="D15" t="s">
        <v>56</v>
      </c>
      <c r="E15" t="s">
        <v>54</v>
      </c>
      <c r="F15" s="14">
        <v>34472.410000000003</v>
      </c>
      <c r="J15" s="13">
        <v>45605</v>
      </c>
      <c r="K15" t="s">
        <v>35</v>
      </c>
      <c r="L15" t="s">
        <v>36</v>
      </c>
      <c r="M15" s="14">
        <v>159</v>
      </c>
    </row>
    <row r="16" spans="3:18" x14ac:dyDescent="0.2">
      <c r="C16" s="15"/>
      <c r="F16" s="16"/>
      <c r="J16" s="13">
        <v>45505</v>
      </c>
      <c r="K16" t="s">
        <v>41</v>
      </c>
      <c r="L16" t="s">
        <v>40</v>
      </c>
      <c r="M16" s="14">
        <v>302.16000000000003</v>
      </c>
      <c r="P16" s="23" t="s">
        <v>62</v>
      </c>
      <c r="Q16" s="33">
        <f>Q6</f>
        <v>146000</v>
      </c>
    </row>
    <row r="17" spans="3:18" ht="16" thickBot="1" x14ac:dyDescent="0.25">
      <c r="C17" s="17" t="s">
        <v>58</v>
      </c>
      <c r="D17" s="18"/>
      <c r="E17" s="18" t="s">
        <v>57</v>
      </c>
      <c r="F17" s="19">
        <f>SUM(F5:F15)</f>
        <v>66328.66</v>
      </c>
      <c r="J17" s="13">
        <v>45593</v>
      </c>
      <c r="K17" t="s">
        <v>35</v>
      </c>
      <c r="L17" t="s">
        <v>36</v>
      </c>
      <c r="M17" s="14">
        <v>159</v>
      </c>
      <c r="P17" s="15" t="s">
        <v>63</v>
      </c>
      <c r="Q17" s="25">
        <f>Q16*0.1</f>
        <v>14600</v>
      </c>
    </row>
    <row r="18" spans="3:18" x14ac:dyDescent="0.2">
      <c r="J18" s="15"/>
      <c r="K18" t="s">
        <v>35</v>
      </c>
      <c r="L18" t="s">
        <v>36</v>
      </c>
      <c r="M18" s="14">
        <v>318</v>
      </c>
      <c r="P18" s="15" t="s">
        <v>64</v>
      </c>
      <c r="Q18" s="16">
        <f>2496.6*2</f>
        <v>4993.2</v>
      </c>
    </row>
    <row r="19" spans="3:18" x14ac:dyDescent="0.2">
      <c r="C19" t="s">
        <v>59</v>
      </c>
      <c r="D19" t="s">
        <v>65</v>
      </c>
      <c r="E19" t="s">
        <v>66</v>
      </c>
      <c r="J19" s="13">
        <v>45463</v>
      </c>
      <c r="K19" t="s">
        <v>30</v>
      </c>
      <c r="M19" s="14">
        <v>346.16</v>
      </c>
      <c r="P19" s="15"/>
      <c r="Q19" s="16"/>
    </row>
    <row r="20" spans="3:18" ht="16" thickBot="1" x14ac:dyDescent="0.25">
      <c r="J20" s="13">
        <v>45608</v>
      </c>
      <c r="K20" t="s">
        <v>42</v>
      </c>
      <c r="L20" t="s">
        <v>43</v>
      </c>
      <c r="M20" s="14">
        <v>355.68</v>
      </c>
      <c r="P20" s="17" t="s">
        <v>62</v>
      </c>
      <c r="Q20" s="34">
        <f>Q16+Q17+Q18</f>
        <v>165593.20000000001</v>
      </c>
    </row>
    <row r="21" spans="3:18" ht="16" thickBot="1" x14ac:dyDescent="0.25">
      <c r="C21">
        <v>2025</v>
      </c>
      <c r="D21" s="8">
        <f>F17*0.03*ALQUILER!D33/365</f>
        <v>1330.2076471232876</v>
      </c>
      <c r="E21" s="8">
        <f>D21</f>
        <v>1330.2076471232876</v>
      </c>
      <c r="J21" s="13">
        <v>45662</v>
      </c>
      <c r="K21" t="s">
        <v>42</v>
      </c>
      <c r="L21" t="s">
        <v>44</v>
      </c>
      <c r="M21" s="14">
        <v>438.03</v>
      </c>
    </row>
    <row r="22" spans="3:18" ht="16" thickBot="1" x14ac:dyDescent="0.25">
      <c r="C22">
        <v>2026</v>
      </c>
      <c r="D22" s="8">
        <f>F17*0.03</f>
        <v>1989.8598</v>
      </c>
      <c r="E22" s="8">
        <f>E21+D22</f>
        <v>3320.0674471232878</v>
      </c>
      <c r="J22" s="13">
        <v>45621</v>
      </c>
      <c r="K22" t="s">
        <v>24</v>
      </c>
      <c r="L22" t="s">
        <v>45</v>
      </c>
      <c r="M22" s="14">
        <v>469.9</v>
      </c>
      <c r="P22" s="35" t="s">
        <v>58</v>
      </c>
      <c r="Q22" s="36">
        <f>'AMORTIZACION '!Q20*'AMORTIZACION '!Q13/'AMORTIZACION '!Q11</f>
        <v>129039.38629548041</v>
      </c>
    </row>
    <row r="23" spans="3:18" x14ac:dyDescent="0.2">
      <c r="J23" s="15"/>
      <c r="K23" t="s">
        <v>42</v>
      </c>
      <c r="L23" t="s">
        <v>46</v>
      </c>
      <c r="M23" s="14">
        <v>537.04</v>
      </c>
    </row>
    <row r="24" spans="3:18" x14ac:dyDescent="0.2">
      <c r="J24" s="13">
        <v>45646</v>
      </c>
      <c r="K24" t="s">
        <v>42</v>
      </c>
      <c r="L24" t="s">
        <v>47</v>
      </c>
      <c r="M24" s="14">
        <v>776.89</v>
      </c>
    </row>
    <row r="25" spans="3:18" x14ac:dyDescent="0.2">
      <c r="J25" s="15"/>
      <c r="K25" t="s">
        <v>42</v>
      </c>
      <c r="L25" t="s">
        <v>48</v>
      </c>
      <c r="M25" s="14">
        <v>889.86</v>
      </c>
      <c r="P25" s="21" t="s">
        <v>59</v>
      </c>
      <c r="Q25" s="21" t="s">
        <v>65</v>
      </c>
      <c r="R25" s="21" t="s">
        <v>66</v>
      </c>
    </row>
    <row r="26" spans="3:18" x14ac:dyDescent="0.2">
      <c r="J26" s="13">
        <v>45365</v>
      </c>
      <c r="K26" t="s">
        <v>93</v>
      </c>
      <c r="L26" t="s">
        <v>49</v>
      </c>
      <c r="M26" s="20">
        <v>1573</v>
      </c>
      <c r="P26" s="21"/>
      <c r="Q26" s="21"/>
      <c r="R26" s="21"/>
    </row>
    <row r="27" spans="3:18" x14ac:dyDescent="0.2">
      <c r="J27" s="13">
        <v>45433</v>
      </c>
      <c r="K27" t="s">
        <v>93</v>
      </c>
      <c r="L27" t="s">
        <v>49</v>
      </c>
      <c r="M27" s="14">
        <v>1966.25</v>
      </c>
      <c r="P27" s="21">
        <v>2025</v>
      </c>
      <c r="Q27" s="22">
        <f>Q22*0.03*ALQUILER!D33/365</f>
        <v>2587.8583772134698</v>
      </c>
      <c r="R27" s="22">
        <f>Q27</f>
        <v>2587.8583772134698</v>
      </c>
    </row>
    <row r="28" spans="3:18" x14ac:dyDescent="0.2">
      <c r="J28" s="13">
        <v>45590</v>
      </c>
      <c r="K28" t="s">
        <v>93</v>
      </c>
      <c r="L28" t="s">
        <v>49</v>
      </c>
      <c r="M28" s="14">
        <v>1966.25</v>
      </c>
      <c r="P28" s="21">
        <v>2026</v>
      </c>
      <c r="Q28" s="22">
        <f>Q22*0.03</f>
        <v>3871.1815888644119</v>
      </c>
      <c r="R28" s="22">
        <f>R27+Q28</f>
        <v>6459.0399660778821</v>
      </c>
    </row>
    <row r="29" spans="3:18" x14ac:dyDescent="0.2">
      <c r="J29" s="13">
        <v>45539</v>
      </c>
      <c r="K29" t="s">
        <v>93</v>
      </c>
      <c r="L29" t="s">
        <v>49</v>
      </c>
      <c r="M29" s="14">
        <v>2359.5</v>
      </c>
      <c r="P29" s="21"/>
      <c r="Q29" s="22"/>
      <c r="R29" s="22"/>
    </row>
    <row r="30" spans="3:18" x14ac:dyDescent="0.2">
      <c r="J30" s="15"/>
      <c r="M30" s="16"/>
      <c r="P30" s="21"/>
      <c r="Q30" s="22"/>
      <c r="R30" s="22"/>
    </row>
    <row r="31" spans="3:18" ht="16" thickBot="1" x14ac:dyDescent="0.25">
      <c r="J31" s="17"/>
      <c r="K31" s="18"/>
      <c r="L31" s="18"/>
      <c r="M31" s="19">
        <f>SUM(M5:M29)</f>
        <v>13444.71</v>
      </c>
      <c r="P31" s="21"/>
      <c r="Q31" s="22"/>
      <c r="R31" s="22"/>
    </row>
    <row r="32" spans="3:18" x14ac:dyDescent="0.2">
      <c r="P32" s="21"/>
      <c r="Q32" s="22"/>
      <c r="R32" s="22"/>
    </row>
    <row r="33" spans="10:18" x14ac:dyDescent="0.2">
      <c r="P33" s="21"/>
      <c r="Q33" s="22"/>
      <c r="R33" s="22"/>
    </row>
    <row r="34" spans="10:18" x14ac:dyDescent="0.2">
      <c r="J34" t="s">
        <v>59</v>
      </c>
      <c r="K34" t="s">
        <v>65</v>
      </c>
      <c r="L34" t="s">
        <v>67</v>
      </c>
      <c r="P34" s="21"/>
      <c r="Q34" s="22"/>
      <c r="R34" s="22"/>
    </row>
    <row r="35" spans="10:18" x14ac:dyDescent="0.2">
      <c r="P35" s="21"/>
      <c r="Q35" s="22"/>
      <c r="R35" s="22"/>
    </row>
    <row r="36" spans="10:18" x14ac:dyDescent="0.2">
      <c r="J36">
        <v>2025</v>
      </c>
      <c r="K36" s="8">
        <f>M31*0.1*ALQUILER!D33/365</f>
        <v>898.76965479452053</v>
      </c>
      <c r="L36" s="8">
        <f>K36</f>
        <v>898.76965479452053</v>
      </c>
      <c r="P36" s="21"/>
      <c r="Q36" s="22"/>
      <c r="R36" s="22"/>
    </row>
    <row r="37" spans="10:18" x14ac:dyDescent="0.2">
      <c r="J37">
        <v>2026</v>
      </c>
      <c r="K37" s="8">
        <f>M31*0.1</f>
        <v>1344.471</v>
      </c>
      <c r="L37" s="8">
        <f>K37+L36</f>
        <v>2243.2406547945207</v>
      </c>
      <c r="P37" s="21"/>
      <c r="Q37" s="22"/>
      <c r="R37" s="22"/>
    </row>
    <row r="38" spans="10:18" x14ac:dyDescent="0.2">
      <c r="P38" s="21"/>
      <c r="Q38" s="22"/>
      <c r="R38" s="22"/>
    </row>
    <row r="39" spans="10:18" x14ac:dyDescent="0.2">
      <c r="P39" s="21"/>
      <c r="Q39" s="22"/>
      <c r="R39" s="22"/>
    </row>
    <row r="40" spans="10:18" x14ac:dyDescent="0.2">
      <c r="P40" s="21"/>
      <c r="Q40" s="22"/>
      <c r="R40" s="22"/>
    </row>
    <row r="41" spans="10:18" x14ac:dyDescent="0.2">
      <c r="P41" s="21"/>
      <c r="Q41" s="22"/>
      <c r="R41" s="22"/>
    </row>
    <row r="42" spans="10:18" x14ac:dyDescent="0.2">
      <c r="Q42" s="2"/>
      <c r="R42" s="2"/>
    </row>
    <row r="43" spans="10:18" x14ac:dyDescent="0.2">
      <c r="Q43" s="2"/>
      <c r="R43" s="2"/>
    </row>
    <row r="44" spans="10:18" x14ac:dyDescent="0.2">
      <c r="Q44" s="2"/>
      <c r="R44" s="2"/>
    </row>
    <row r="45" spans="10:18" x14ac:dyDescent="0.2">
      <c r="Q45" s="2"/>
      <c r="R45" s="2"/>
    </row>
    <row r="46" spans="10:18" x14ac:dyDescent="0.2">
      <c r="Q46" s="2"/>
      <c r="R46" s="2"/>
    </row>
    <row r="47" spans="10:18" x14ac:dyDescent="0.2">
      <c r="Q47" s="2"/>
      <c r="R47" s="2"/>
    </row>
    <row r="48" spans="10:18" x14ac:dyDescent="0.2">
      <c r="Q48" s="2"/>
      <c r="R48" s="2"/>
    </row>
    <row r="49" spans="17:18" x14ac:dyDescent="0.2">
      <c r="Q49" s="2"/>
      <c r="R49" s="2"/>
    </row>
    <row r="50" spans="17:18" x14ac:dyDescent="0.2">
      <c r="Q50" s="2"/>
      <c r="R50" s="2"/>
    </row>
    <row r="51" spans="17:18" x14ac:dyDescent="0.2">
      <c r="Q51" s="2"/>
      <c r="R51" s="2"/>
    </row>
    <row r="52" spans="17:18" x14ac:dyDescent="0.2">
      <c r="Q52" s="2"/>
      <c r="R52" s="2"/>
    </row>
    <row r="53" spans="17:18" x14ac:dyDescent="0.2">
      <c r="Q53" s="2"/>
      <c r="R53" s="2"/>
    </row>
    <row r="54" spans="17:18" x14ac:dyDescent="0.2">
      <c r="Q54" s="2"/>
      <c r="R54" s="2"/>
    </row>
    <row r="55" spans="17:18" x14ac:dyDescent="0.2">
      <c r="Q55" s="2"/>
      <c r="R55" s="2"/>
    </row>
    <row r="56" spans="17:18" x14ac:dyDescent="0.2">
      <c r="Q56" s="2"/>
      <c r="R56" s="2"/>
    </row>
    <row r="57" spans="17:18" x14ac:dyDescent="0.2">
      <c r="Q57" s="2"/>
      <c r="R57" s="2"/>
    </row>
    <row r="58" spans="17:18" x14ac:dyDescent="0.2">
      <c r="Q58" s="2"/>
      <c r="R58" s="2"/>
    </row>
    <row r="59" spans="17:18" x14ac:dyDescent="0.2">
      <c r="Q59" s="2"/>
      <c r="R59" s="2"/>
    </row>
    <row r="60" spans="17:18" x14ac:dyDescent="0.2">
      <c r="Q60" s="2"/>
      <c r="R60" s="2"/>
    </row>
    <row r="61" spans="17:18" x14ac:dyDescent="0.2">
      <c r="Q61" s="2"/>
      <c r="R6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ALQUILER</vt:lpstr>
      <vt:lpstr>AMORTIZACION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Geoffroy Reiser</cp:lastModifiedBy>
  <dcterms:created xsi:type="dcterms:W3CDTF">2015-06-05T18:19:34Z</dcterms:created>
  <dcterms:modified xsi:type="dcterms:W3CDTF">2026-03-10T08:48:45Z</dcterms:modified>
</cp:coreProperties>
</file>